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<sst xmlns="http://schemas.openxmlformats.org/spreadsheetml/2006/main" count="163" uniqueCount="112">
  <si>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</si>
  <si>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</si>
  <si>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</si>
  <si>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</si>
  <si>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</si>
  <si>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</si>
  <si>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</si>
  <si>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</si>
  <si>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</si>
  <si>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</si>
  <si>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</si>
  <si>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</si>
  <si>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</si>
  <si>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</si>
  <si>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</si>
  <si>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</si>
  <si>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</si>
  <si>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</si>
  <si>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</si>
  <si>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</si>
  <si>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</si>
  <si>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</si>
  <si>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</si>
  <si>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</si>
  <si>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</si>
  <si>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</si>
  <si>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</si>
  <si>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</si>
  <si>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</si>
  <si>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</si>
  <si>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</si>
  <si>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</si>
  <si>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</si>
  <si>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</si>
  <si>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</si>
  <si>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</si>
  <si>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</si>
  <si>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</si>
  <si>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</si>
  <si>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</si>
  <si>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</si>
  <si>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</si>
  <si>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</si>
  <si>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</si>
  <si>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</si>
  <si>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</si>
  <si>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</si>
  <si>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</si>
  <si>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</si>
  <si>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</si>
  <si>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</si>
  <si>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</si>
  <si>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</si>
  <si>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</si>
  <si>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</si>
  <si>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</si>
  <si>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</si>
  <si>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</si>
  <si>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</si>
  <si>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</si>
  <si>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</si>
  <si>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</si>
  <si>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</si>
  <si>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</si>
  <si>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</si>
  <si>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</si>
  <si>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</si>
  <si>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</si>
  <si>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</si>
  <si>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</si>
  <si>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</si>
  <si>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</si>
  <si>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</si>
  <si>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</si>
  <si>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</si>
  <si>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</si>
  <si>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</si>
  <si>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</si>
  <si>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</si>
  <si>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</si>
  <si>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</si>
  <si>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</si>
  <si>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</si>
  <si>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</si>
  <si>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</si>
  <si>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</si>
  <si>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</si>
  <si>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</si>
  <si>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</si>
  <si>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</si>
  <si>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</si>
  <si>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</si>
  <si>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</si>
  <si>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</si>
  <si>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</si>
  <si>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</si>
  <si>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</si>
  <si>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</si>
  <si>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</si>
  <si>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</si>
  <si>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</si>
  <si>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</si>
  <si>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</si>
  <si>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</si>
  <si>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</si>
  <si>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</si>
  <si>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</si>
  <si>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</si>
  <si>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</si>
  <si>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</si>
  <si>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</si>
  <si>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загального фонду міського бюджету станом на 10.08.2017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</si>
</sst>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70142.8</c:v>
                </c:pt>
                <c:pt idx="1">
                  <c:v>65296.80000000001</c:v>
                </c:pt>
                <c:pt idx="2">
                  <c:v>1288.3000000000002</c:v>
                </c:pt>
                <c:pt idx="3">
                  <c:v>3557.6999999999925</c:v>
                </c:pt>
              </c:numCache>
            </c:numRef>
          </c:val>
          <c:shape val="box"/>
        </c:ser>
        <c:shape val="box"/>
        <c:axId val="35058340"/>
        <c:axId val="47089605"/>
      </c:bar3DChart>
      <c:catAx>
        <c:axId val="35058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89605"/>
        <c:crosses val="autoZero"/>
        <c:auto val="1"/>
        <c:lblOffset val="100"/>
        <c:tickLblSkip val="1"/>
        <c:noMultiLvlLbl val="0"/>
      </c:catAx>
      <c:valAx>
        <c:axId val="47089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58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639747.9999999999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19776.399999999885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368925.69999999995</c:v>
                </c:pt>
                <c:pt idx="1">
                  <c:v>139550.80000000002</c:v>
                </c:pt>
                <c:pt idx="2">
                  <c:v>292973.89999999997</c:v>
                </c:pt>
                <c:pt idx="3">
                  <c:v>23.1</c:v>
                </c:pt>
                <c:pt idx="4">
                  <c:v>17726.1</c:v>
                </c:pt>
                <c:pt idx="5">
                  <c:v>45433.100000000006</c:v>
                </c:pt>
                <c:pt idx="6">
                  <c:v>7408.9</c:v>
                </c:pt>
                <c:pt idx="7">
                  <c:v>5360.5999999999785</c:v>
                </c:pt>
              </c:numCache>
            </c:numRef>
          </c:val>
          <c:shape val="box"/>
        </c:ser>
        <c:shape val="box"/>
        <c:axId val="21153262"/>
        <c:axId val="56161631"/>
      </c:bar3DChart>
      <c:catAx>
        <c:axId val="2115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61631"/>
        <c:crosses val="autoZero"/>
        <c:auto val="1"/>
        <c:lblOffset val="100"/>
        <c:tickLblSkip val="1"/>
        <c:noMultiLvlLbl val="0"/>
      </c:catAx>
      <c:valAx>
        <c:axId val="56161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3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216546.60000000003</c:v>
                </c:pt>
                <c:pt idx="1">
                  <c:v>136899.00000000003</c:v>
                </c:pt>
                <c:pt idx="2">
                  <c:v>216546.60000000003</c:v>
                </c:pt>
              </c:numCache>
            </c:numRef>
          </c:val>
          <c:shape val="box"/>
        </c:ser>
        <c:shape val="box"/>
        <c:axId val="35692632"/>
        <c:axId val="52798233"/>
      </c:bar3D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98233"/>
        <c:crosses val="autoZero"/>
        <c:auto val="1"/>
        <c:lblOffset val="100"/>
        <c:tickLblSkip val="1"/>
        <c:noMultiLvlLbl val="0"/>
      </c:catAx>
      <c:valAx>
        <c:axId val="52798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36261.09999999999</c:v>
                </c:pt>
                <c:pt idx="1">
                  <c:v>30342.199999999997</c:v>
                </c:pt>
                <c:pt idx="2">
                  <c:v>1531.5</c:v>
                </c:pt>
                <c:pt idx="3">
                  <c:v>350.3</c:v>
                </c:pt>
                <c:pt idx="4">
                  <c:v>25.5</c:v>
                </c:pt>
                <c:pt idx="5">
                  <c:v>4011.599999999994</c:v>
                </c:pt>
              </c:numCache>
            </c:numRef>
          </c:val>
          <c:shape val="box"/>
        </c:ser>
        <c:shape val="box"/>
        <c:axId val="5422050"/>
        <c:axId val="48798451"/>
      </c:bar3DChart>
      <c:catAx>
        <c:axId val="54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13437.099999999999</c:v>
                </c:pt>
                <c:pt idx="1">
                  <c:v>8623.5</c:v>
                </c:pt>
                <c:pt idx="3">
                  <c:v>347.1999999999999</c:v>
                </c:pt>
                <c:pt idx="4">
                  <c:v>500.60000000000014</c:v>
                </c:pt>
                <c:pt idx="5">
                  <c:v>280</c:v>
                </c:pt>
                <c:pt idx="6">
                  <c:v>3685.7999999999984</c:v>
                </c:pt>
              </c:numCache>
            </c:numRef>
          </c:val>
          <c:shape val="box"/>
        </c:ser>
        <c:shape val="box"/>
        <c:axId val="36532876"/>
        <c:axId val="60360429"/>
      </c:bar3DChart>
      <c:catAx>
        <c:axId val="3653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0429"/>
        <c:crosses val="autoZero"/>
        <c:auto val="1"/>
        <c:lblOffset val="100"/>
        <c:tickLblSkip val="2"/>
        <c:noMultiLvlLbl val="0"/>
      </c:catAx>
      <c:valAx>
        <c:axId val="60360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2161.0000000000005</c:v>
                </c:pt>
                <c:pt idx="1">
                  <c:v>1450.8000000000002</c:v>
                </c:pt>
                <c:pt idx="2">
                  <c:v>190.89999999999998</c:v>
                </c:pt>
                <c:pt idx="3">
                  <c:v>209.29999999999998</c:v>
                </c:pt>
                <c:pt idx="4">
                  <c:v>89.8</c:v>
                </c:pt>
                <c:pt idx="5">
                  <c:v>220.20000000000033</c:v>
                </c:pt>
              </c:numCache>
            </c:numRef>
          </c:val>
          <c:shape val="box"/>
        </c:ser>
        <c:shape val="box"/>
        <c:axId val="6372950"/>
        <c:axId val="57356551"/>
      </c:bar3DChart>
      <c:catAx>
        <c:axId val="637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56551"/>
        <c:crosses val="autoZero"/>
        <c:auto val="1"/>
        <c:lblOffset val="100"/>
        <c:tickLblSkip val="1"/>
        <c:noMultiLvlLbl val="0"/>
      </c:catAx>
      <c:valAx>
        <c:axId val="57356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36733.1</c:v>
                </c:pt>
              </c:numCache>
            </c:numRef>
          </c:val>
          <c:shape val="box"/>
        </c:ser>
        <c:shape val="box"/>
        <c:axId val="46446912"/>
        <c:axId val="15369025"/>
      </c:bar3DChart>
      <c:catAx>
        <c:axId val="464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69025"/>
        <c:crosses val="autoZero"/>
        <c:auto val="1"/>
        <c:lblOffset val="100"/>
        <c:tickLblSkip val="1"/>
        <c:noMultiLvlLbl val="0"/>
      </c:catAx>
      <c:valAx>
        <c:axId val="15369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6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639747.9999999999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368925.69999999995</c:v>
                </c:pt>
                <c:pt idx="1">
                  <c:v>216546.60000000003</c:v>
                </c:pt>
                <c:pt idx="2">
                  <c:v>36261.09999999999</c:v>
                </c:pt>
                <c:pt idx="3">
                  <c:v>13437.099999999999</c:v>
                </c:pt>
                <c:pt idx="4">
                  <c:v>2161.0000000000005</c:v>
                </c:pt>
                <c:pt idx="5">
                  <c:v>70142.8</c:v>
                </c:pt>
                <c:pt idx="6">
                  <c:v>36733.1</c:v>
                </c:pt>
              </c:numCache>
            </c:numRef>
          </c:val>
          <c:shape val="box"/>
        </c:ser>
        <c:shape val="box"/>
        <c:axId val="4103498"/>
        <c:axId val="36931483"/>
      </c:bar3DChart>
      <c:catAx>
        <c:axId val="41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1483"/>
        <c:crosses val="autoZero"/>
        <c:auto val="1"/>
        <c:lblOffset val="100"/>
        <c:tickLblSkip val="1"/>
        <c:noMultiLvlLbl val="0"/>
      </c:catAx>
      <c:valAx>
        <c:axId val="36931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990956.8999999994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405761.1</c:v>
                </c:pt>
                <c:pt idx="1">
                  <c:v>55756.40000000001</c:v>
                </c:pt>
                <c:pt idx="2">
                  <c:v>18301.5</c:v>
                </c:pt>
                <c:pt idx="3">
                  <c:v>12851.999999999998</c:v>
                </c:pt>
                <c:pt idx="4">
                  <c:v>23.900000000000002</c:v>
                </c:pt>
                <c:pt idx="5">
                  <c:v>471595.69999999995</c:v>
                </c:pt>
              </c:numCache>
            </c:numRef>
          </c:val>
          <c:shape val="box"/>
        </c:ser>
        <c:shape val="box"/>
        <c:axId val="63947892"/>
        <c:axId val="38660117"/>
      </c:bar3DChart>
      <c:catAx>
        <c:axId val="6394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0117"/>
        <c:crosses val="autoZero"/>
        <c:auto val="1"/>
        <c:lblOffset val="100"/>
        <c:tickLblSkip val="1"/>
        <c:noMultiLvlLbl val="0"/>
      </c:catAx>
      <c:valAx>
        <c:axId val="38660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432940.7</v>
      </c>
      <c r="C6" s="46">
        <f>625865.1-190.4-316.9+47.1+50+198+5366.4+2952+4818.2+150+808.5-20</f>
        <v>639727.9999999999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</f>
        <v>369691.69999999995</v>
      </c>
      <c r="E6" s="3">
        <f>D6/D151*100</f>
        <v>36.851896210688714</v>
      </c>
      <c r="F6" s="3">
        <f>D6/B6*100</f>
        <v>85.39083990024498</v>
      </c>
      <c r="G6" s="3">
        <f aca="true" t="shared" si="0" ref="G6:G43">D6/C6*100</f>
        <v>57.78888840257109</v>
      </c>
      <c r="H6" s="47">
        <f>B6-D6</f>
        <v>63249.00000000006</v>
      </c>
      <c r="I6" s="47">
        <f aca="true" t="shared" si="1" ref="I6:I43">C6-D6</f>
        <v>270036.29999999993</v>
      </c>
    </row>
    <row r="7" spans="1:9" s="37" customFormat="1" ht="18.75">
      <c r="A7" s="104" t="s">
        <v>82</v>
      </c>
      <c r="B7" s="97">
        <v>167440.3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</f>
        <v>139550.80000000002</v>
      </c>
      <c r="E7" s="95">
        <f>D7/D6*100</f>
        <v>37.74788560305791</v>
      </c>
      <c r="F7" s="95">
        <f>D7/B7*100</f>
        <v>83.34361560508434</v>
      </c>
      <c r="G7" s="95">
        <f>D7/C7*100</f>
        <v>57.30170664075958</v>
      </c>
      <c r="H7" s="105">
        <f>B7-D7</f>
        <v>27889.49999999997</v>
      </c>
      <c r="I7" s="105">
        <f t="shared" si="1"/>
        <v>103986.09999999998</v>
      </c>
    </row>
    <row r="8" spans="1:9" ht="18">
      <c r="A8" s="23" t="s">
        <v>3</v>
      </c>
      <c r="B8" s="42">
        <v>338557.6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</f>
        <v>293104.99999999994</v>
      </c>
      <c r="E8" s="1">
        <f>D8/D6*100</f>
        <v>79.28363011666207</v>
      </c>
      <c r="F8" s="1">
        <f>D8/B8*100</f>
        <v>86.5746330904992</v>
      </c>
      <c r="G8" s="1">
        <f t="shared" si="0"/>
        <v>58.91693978855791</v>
      </c>
      <c r="H8" s="44">
        <f>B8-D8</f>
        <v>45452.600000000035</v>
      </c>
      <c r="I8" s="44">
        <f t="shared" si="1"/>
        <v>204383.50000000006</v>
      </c>
    </row>
    <row r="9" spans="1:9" ht="18">
      <c r="A9" s="23" t="s">
        <v>2</v>
      </c>
      <c r="B9" s="42">
        <v>52.9</v>
      </c>
      <c r="C9" s="43">
        <v>92.5</v>
      </c>
      <c r="D9" s="44">
        <f>2.5+4.3+3.3+7+0.4+1.3+1.6+1.3+1.5-0.1</f>
        <v>23.1</v>
      </c>
      <c r="E9" s="12">
        <f>D9/D6*100</f>
        <v>0.006248449721754641</v>
      </c>
      <c r="F9" s="119">
        <f>D9/B9*100</f>
        <v>43.66729678638942</v>
      </c>
      <c r="G9" s="1">
        <f t="shared" si="0"/>
        <v>24.972972972972972</v>
      </c>
      <c r="H9" s="44">
        <f aca="true" t="shared" si="2" ref="H9:H43">B9-D9</f>
        <v>29.799999999999997</v>
      </c>
      <c r="I9" s="44">
        <f t="shared" si="1"/>
        <v>69.4</v>
      </c>
    </row>
    <row r="10" spans="1:9" ht="18">
      <c r="A10" s="23" t="s">
        <v>1</v>
      </c>
      <c r="B10" s="42">
        <v>19586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</f>
        <v>18015.499999999996</v>
      </c>
      <c r="E10" s="1">
        <f>D10/D6*100</f>
        <v>4.873114543821242</v>
      </c>
      <c r="F10" s="1">
        <f aca="true" t="shared" si="3" ref="F10:F41">D10/B10*100</f>
        <v>91.98151741039517</v>
      </c>
      <c r="G10" s="1">
        <f t="shared" si="0"/>
        <v>65.60275294503212</v>
      </c>
      <c r="H10" s="44">
        <f t="shared" si="2"/>
        <v>1570.5000000000036</v>
      </c>
      <c r="I10" s="44">
        <f t="shared" si="1"/>
        <v>9446.000000000004</v>
      </c>
    </row>
    <row r="11" spans="1:9" ht="18">
      <c r="A11" s="23" t="s">
        <v>0</v>
      </c>
      <c r="B11" s="42">
        <v>53126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</f>
        <v>45470.90000000001</v>
      </c>
      <c r="E11" s="1">
        <f>D11/D6*100</f>
        <v>12.299681058568536</v>
      </c>
      <c r="F11" s="1">
        <f t="shared" si="3"/>
        <v>85.59067123442384</v>
      </c>
      <c r="G11" s="1">
        <f t="shared" si="0"/>
        <v>56.205956699896795</v>
      </c>
      <c r="H11" s="44">
        <f t="shared" si="2"/>
        <v>7655.099999999991</v>
      </c>
      <c r="I11" s="44">
        <f t="shared" si="1"/>
        <v>35429.59999999999</v>
      </c>
    </row>
    <row r="12" spans="1:9" ht="18">
      <c r="A12" s="23" t="s">
        <v>14</v>
      </c>
      <c r="B12" s="42">
        <v>8533.4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</f>
        <v>7410.2</v>
      </c>
      <c r="E12" s="1">
        <f>D12/D6*100</f>
        <v>2.004426931954383</v>
      </c>
      <c r="F12" s="1">
        <f t="shared" si="3"/>
        <v>86.83760283122788</v>
      </c>
      <c r="G12" s="1">
        <f t="shared" si="0"/>
        <v>52.82209201203256</v>
      </c>
      <c r="H12" s="44">
        <f t="shared" si="2"/>
        <v>1123.1999999999998</v>
      </c>
      <c r="I12" s="44">
        <f t="shared" si="1"/>
        <v>6618.400000000001</v>
      </c>
    </row>
    <row r="13" spans="1:9" ht="18.75" thickBot="1">
      <c r="A13" s="23" t="s">
        <v>28</v>
      </c>
      <c r="B13" s="43">
        <f>B6-B8-B9-B10-B11-B12</f>
        <v>13084.800000000041</v>
      </c>
      <c r="C13" s="43">
        <f>C6-C8-C9-C10-C11-C12</f>
        <v>19756.399999999885</v>
      </c>
      <c r="D13" s="43">
        <f>D6-D8-D9-D10-D11-D12</f>
        <v>5666.999999999997</v>
      </c>
      <c r="E13" s="1">
        <f>D13/D6*100</f>
        <v>1.5328988992720145</v>
      </c>
      <c r="F13" s="1">
        <f t="shared" si="3"/>
        <v>43.309794570799546</v>
      </c>
      <c r="G13" s="1">
        <f t="shared" si="0"/>
        <v>28.684375695977156</v>
      </c>
      <c r="H13" s="44">
        <f t="shared" si="2"/>
        <v>7417.800000000044</v>
      </c>
      <c r="I13" s="44">
        <f t="shared" si="1"/>
        <v>14089.399999999889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262692.8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</f>
        <v>217307.70000000004</v>
      </c>
      <c r="E18" s="3">
        <f>D18/D151*100</f>
        <v>21.66183554075865</v>
      </c>
      <c r="F18" s="3">
        <f>D18/B18*100</f>
        <v>82.72312754670097</v>
      </c>
      <c r="G18" s="3">
        <f t="shared" si="0"/>
        <v>59.87195075079743</v>
      </c>
      <c r="H18" s="47">
        <f>B18-D18</f>
        <v>45385.09999999995</v>
      </c>
      <c r="I18" s="47">
        <f t="shared" si="1"/>
        <v>145646.39999999994</v>
      </c>
    </row>
    <row r="19" spans="1:13" s="37" customFormat="1" ht="18.75">
      <c r="A19" s="104" t="s">
        <v>83</v>
      </c>
      <c r="B19" s="97">
        <v>160080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</f>
        <v>137241.70000000004</v>
      </c>
      <c r="E19" s="95">
        <f>D19/D18*100</f>
        <v>63.15547033077982</v>
      </c>
      <c r="F19" s="95">
        <f t="shared" si="3"/>
        <v>85.733195902049</v>
      </c>
      <c r="G19" s="95">
        <f t="shared" si="0"/>
        <v>57.30210788478763</v>
      </c>
      <c r="H19" s="105">
        <f t="shared" si="2"/>
        <v>22838.29999999996</v>
      </c>
      <c r="I19" s="105">
        <f t="shared" si="1"/>
        <v>102263.79999999996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262692.8</v>
      </c>
      <c r="C25" s="43">
        <f>C18</f>
        <v>362954.1</v>
      </c>
      <c r="D25" s="43">
        <f>D18</f>
        <v>217307.70000000004</v>
      </c>
      <c r="E25" s="1">
        <f>D25/D18*100</f>
        <v>100</v>
      </c>
      <c r="F25" s="1">
        <f t="shared" si="3"/>
        <v>82.72312754670097</v>
      </c>
      <c r="G25" s="1">
        <f t="shared" si="0"/>
        <v>59.87195075079743</v>
      </c>
      <c r="H25" s="44">
        <f t="shared" si="2"/>
        <v>45385.09999999995</v>
      </c>
      <c r="I25" s="44">
        <f t="shared" si="1"/>
        <v>145646.39999999994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41983.1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</f>
        <v>36395.299999999996</v>
      </c>
      <c r="E33" s="3">
        <f>D33/D151*100</f>
        <v>3.6279846644024714</v>
      </c>
      <c r="F33" s="3">
        <f>D33/B33*100</f>
        <v>86.69035873958806</v>
      </c>
      <c r="G33" s="3">
        <f t="shared" si="0"/>
        <v>56.474277610022675</v>
      </c>
      <c r="H33" s="47">
        <f t="shared" si="2"/>
        <v>5587.800000000003</v>
      </c>
      <c r="I33" s="47">
        <f t="shared" si="1"/>
        <v>28050.500000000007</v>
      </c>
      <c r="K33" s="132"/>
    </row>
    <row r="34" spans="1:11" ht="18">
      <c r="A34" s="23" t="s">
        <v>3</v>
      </c>
      <c r="B34" s="42">
        <f>34660+33.5</f>
        <v>34693.5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1743.2+1833.7+1830.2+1935.3+81+1854.2+129.9+1804.7+34.4+1.5+1881.6+1967.7+0.1+1784.4+235.6+2357.6-0.1+6335.8+2919.9+53.7+142.8+686.6+728.3+0.1+8.8+87.6</f>
        <v>30438.599999999995</v>
      </c>
      <c r="E34" s="1">
        <f>D34/D33*100</f>
        <v>83.6333262811407</v>
      </c>
      <c r="F34" s="1">
        <f t="shared" si="3"/>
        <v>87.73574300661505</v>
      </c>
      <c r="G34" s="1">
        <f t="shared" si="0"/>
        <v>57.72342305781331</v>
      </c>
      <c r="H34" s="44">
        <f t="shared" si="2"/>
        <v>4254.900000000005</v>
      </c>
      <c r="I34" s="44">
        <f t="shared" si="1"/>
        <v>22293.2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1654.5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5.4+1.2+41.8+16.1+2.9+29.7+160.9+0.8+93.4+46.9+11.2+0.1+15.2+184.7+9.2+183.2+0.9+11.9+0.1+174+0.1+59.2+12.8+2+8.2+325.6+7.6-0.1+53.7+13.4+10.7+7.4+0.6+1.6+1.5+8.1+1.8+9.7+0.1+1+17.2-0.3+3.2</f>
        <v>1534.7</v>
      </c>
      <c r="E36" s="1">
        <f>D36/D33*100</f>
        <v>4.21675326209703</v>
      </c>
      <c r="F36" s="1">
        <f t="shared" si="3"/>
        <v>92.75914173466305</v>
      </c>
      <c r="G36" s="1">
        <f t="shared" si="0"/>
        <v>52.10674634162904</v>
      </c>
      <c r="H36" s="44">
        <f t="shared" si="2"/>
        <v>119.79999999999995</v>
      </c>
      <c r="I36" s="44">
        <f t="shared" si="1"/>
        <v>1410.6000000000001</v>
      </c>
      <c r="K36" s="132"/>
    </row>
    <row r="37" spans="1:11" s="37" customFormat="1" ht="18.75">
      <c r="A37" s="18" t="s">
        <v>7</v>
      </c>
      <c r="B37" s="51">
        <v>501.2</v>
      </c>
      <c r="C37" s="52">
        <f>856.1-104</f>
        <v>752.1</v>
      </c>
      <c r="D37" s="53">
        <f>7.4+12.3+6.1+3.3+9.3+3.2+58.1+36.7+24.4+18.9-18.9+0.1+12+83.3+21.3+10.7+4.7+55.2+2.2</f>
        <v>350.3</v>
      </c>
      <c r="E37" s="17">
        <f>D37/D33*100</f>
        <v>0.9624869145191826</v>
      </c>
      <c r="F37" s="17">
        <f t="shared" si="3"/>
        <v>69.89225857940941</v>
      </c>
      <c r="G37" s="17">
        <f t="shared" si="0"/>
        <v>46.57625315782476</v>
      </c>
      <c r="H37" s="53">
        <f t="shared" si="2"/>
        <v>150.89999999999998</v>
      </c>
      <c r="I37" s="53">
        <f t="shared" si="1"/>
        <v>401.8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0.0700639917791583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5108.399999999999</v>
      </c>
      <c r="C39" s="42">
        <f>C33-C34-C36-C37-C35-C38</f>
        <v>7935.8000000000075</v>
      </c>
      <c r="D39" s="42">
        <f>D33-D34-D36-D37-D35-D38</f>
        <v>4046.2000000000007</v>
      </c>
      <c r="E39" s="1">
        <f>D39/D33*100</f>
        <v>11.117369550463938</v>
      </c>
      <c r="F39" s="1">
        <f t="shared" si="3"/>
        <v>79.20679664865715</v>
      </c>
      <c r="G39" s="1">
        <f t="shared" si="0"/>
        <v>50.98666801078653</v>
      </c>
      <c r="H39" s="44">
        <f>B39-D39</f>
        <v>1062.199999999998</v>
      </c>
      <c r="I39" s="44">
        <f t="shared" si="1"/>
        <v>3889.6000000000067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1890.8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0.11892155593255585</v>
      </c>
      <c r="F43" s="3">
        <f>D43/B43*100</f>
        <v>63.0949862492067</v>
      </c>
      <c r="G43" s="3">
        <f t="shared" si="0"/>
        <v>53.409141782692394</v>
      </c>
      <c r="H43" s="47">
        <f t="shared" si="2"/>
        <v>697.7999999999997</v>
      </c>
      <c r="I43" s="47">
        <f t="shared" si="1"/>
        <v>1040.7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7911.7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</f>
        <v>6731.200000000001</v>
      </c>
      <c r="E45" s="3">
        <f>D45/D151*100</f>
        <v>0.6709847253086503</v>
      </c>
      <c r="F45" s="3">
        <f>D45/B45*100</f>
        <v>85.07906012614231</v>
      </c>
      <c r="G45" s="3">
        <f aca="true" t="shared" si="4" ref="G45:G76">D45/C45*100</f>
        <v>57.10213776722091</v>
      </c>
      <c r="H45" s="47">
        <f>B45-D45</f>
        <v>1180.499999999999</v>
      </c>
      <c r="I45" s="47">
        <f aca="true" t="shared" si="5" ref="I45:I77">C45-D45</f>
        <v>5056.799999999999</v>
      </c>
      <c r="K45" s="132"/>
    </row>
    <row r="46" spans="1:11" ht="18">
      <c r="A46" s="23" t="s">
        <v>3</v>
      </c>
      <c r="B46" s="42">
        <v>7087.7</v>
      </c>
      <c r="C46" s="43">
        <v>10529.7</v>
      </c>
      <c r="D46" s="44">
        <f>102.7+154.9+447.3+314.1+572.1+284.8+559+325.4+510.8+301.6+29.6+556.7+0.1+311.9+684.4+334.8+585.4</f>
        <v>6075.599999999999</v>
      </c>
      <c r="E46" s="1">
        <f>D46/D45*100</f>
        <v>90.26028048490609</v>
      </c>
      <c r="F46" s="1">
        <f aca="true" t="shared" si="6" ref="F46:F74">D46/B46*100</f>
        <v>85.72033240684566</v>
      </c>
      <c r="G46" s="1">
        <f t="shared" si="4"/>
        <v>57.69964956266559</v>
      </c>
      <c r="H46" s="44">
        <f aca="true" t="shared" si="7" ref="H46:H74">B46-D46</f>
        <v>1012.1000000000004</v>
      </c>
      <c r="I46" s="44">
        <f t="shared" si="5"/>
        <v>4454.100000000001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0.011884953648680769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0.554135963869741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564</v>
      </c>
      <c r="C49" s="43">
        <v>865.1</v>
      </c>
      <c r="D49" s="44">
        <f>3.1+3.5+1+0.7+59.3+95.2+2.2+6-0.1+53.5+89.7+6.2+7.2+73.9+0.4+4+3.2+30.6+0.2+2.7+3.1+5.4+3.6</f>
        <v>454.59999999999997</v>
      </c>
      <c r="E49" s="1">
        <f>D49/D45*100</f>
        <v>6.753624910862846</v>
      </c>
      <c r="F49" s="1">
        <f t="shared" si="6"/>
        <v>80.60283687943262</v>
      </c>
      <c r="G49" s="1">
        <f t="shared" si="4"/>
        <v>52.54883828459137</v>
      </c>
      <c r="H49" s="44">
        <f t="shared" si="7"/>
        <v>109.40000000000003</v>
      </c>
      <c r="I49" s="44">
        <f t="shared" si="5"/>
        <v>410.50000000000006</v>
      </c>
      <c r="K49" s="132"/>
    </row>
    <row r="50" spans="1:11" ht="18.75" thickBot="1">
      <c r="A50" s="23" t="s">
        <v>28</v>
      </c>
      <c r="B50" s="43">
        <f>B45-B46-B49-B48-B47</f>
        <v>210.79999999999998</v>
      </c>
      <c r="C50" s="43">
        <f>C45-C46-C49-C48-C47</f>
        <v>317.49999999999926</v>
      </c>
      <c r="D50" s="43">
        <f>D45-D46-D49-D48-D47</f>
        <v>162.90000000000128</v>
      </c>
      <c r="E50" s="1">
        <f>D50/D45*100</f>
        <v>2.4200736867126404</v>
      </c>
      <c r="F50" s="1">
        <f t="shared" si="6"/>
        <v>77.27703984819796</v>
      </c>
      <c r="G50" s="1">
        <f t="shared" si="4"/>
        <v>51.30708661417375</v>
      </c>
      <c r="H50" s="44">
        <f t="shared" si="7"/>
        <v>47.8999999999987</v>
      </c>
      <c r="I50" s="44">
        <f t="shared" si="5"/>
        <v>154.59999999999798</v>
      </c>
      <c r="K50" s="132"/>
    </row>
    <row r="51" spans="1:11" ht="18.75" thickBot="1">
      <c r="A51" s="22" t="s">
        <v>4</v>
      </c>
      <c r="B51" s="45">
        <v>15262.2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</f>
        <v>13447.099999999999</v>
      </c>
      <c r="E51" s="3">
        <f>D51/D151*100</f>
        <v>1.3404443040910907</v>
      </c>
      <c r="F51" s="3">
        <f>D51/B51*100</f>
        <v>88.10721914271859</v>
      </c>
      <c r="G51" s="3">
        <f t="shared" si="4"/>
        <v>56.236016376783105</v>
      </c>
      <c r="H51" s="47">
        <f>B51-D51</f>
        <v>1815.1000000000022</v>
      </c>
      <c r="I51" s="47">
        <f t="shared" si="5"/>
        <v>10464.8</v>
      </c>
      <c r="K51" s="132"/>
    </row>
    <row r="52" spans="1:11" ht="18">
      <c r="A52" s="23" t="s">
        <v>3</v>
      </c>
      <c r="B52" s="42">
        <v>9611.2</v>
      </c>
      <c r="C52" s="43">
        <f>16189.8-940.4</f>
        <v>15249.4</v>
      </c>
      <c r="D52" s="44">
        <f>392.4+738.8+389.6+752.9+403.1+730.4+397.8+724.9+1.1+0.1+403+795.7+527.1+1240.6+386.5+33.7+705.7+0.1+5.8</f>
        <v>8629.3</v>
      </c>
      <c r="E52" s="1">
        <f>D52/D51*100</f>
        <v>64.17220069754818</v>
      </c>
      <c r="F52" s="1">
        <f t="shared" si="6"/>
        <v>89.78379390710836</v>
      </c>
      <c r="G52" s="1">
        <f t="shared" si="4"/>
        <v>56.58780017574462</v>
      </c>
      <c r="H52" s="44">
        <f t="shared" si="7"/>
        <v>981.9000000000015</v>
      </c>
      <c r="I52" s="44">
        <f t="shared" si="5"/>
        <v>6620.1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v>527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1.9+1.9+0.5+7.4+2.1+1.2+12.9+5.1+0.1+4.5+16.8+19.2+9.7+3.1+1.1+1.4+2.5+5.7+19.9+0.8+28.2+4+19.8+8.2+38.7+4.3+0.2+18.2+4.3+27.9+3.9+3+21+4+9.4+2.4+4.7+1.2+8.1+6.9+10.9+0.1+1.4</f>
        <v>348.59999999999985</v>
      </c>
      <c r="E54" s="1">
        <f>D54/D51*100</f>
        <v>2.5923805132705184</v>
      </c>
      <c r="F54" s="1">
        <f t="shared" si="6"/>
        <v>66.14800759013279</v>
      </c>
      <c r="G54" s="1">
        <f t="shared" si="4"/>
        <v>43.02641323130089</v>
      </c>
      <c r="H54" s="44">
        <f t="shared" si="7"/>
        <v>178.40000000000015</v>
      </c>
      <c r="I54" s="44">
        <f t="shared" si="5"/>
        <v>461.6000000000002</v>
      </c>
      <c r="K54" s="132"/>
    </row>
    <row r="55" spans="1:11" ht="18">
      <c r="A55" s="23" t="s">
        <v>0</v>
      </c>
      <c r="B55" s="42">
        <v>592.5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</f>
        <v>500.60000000000014</v>
      </c>
      <c r="E55" s="1">
        <f>D55/D51*100</f>
        <v>3.722735757152101</v>
      </c>
      <c r="F55" s="1">
        <f t="shared" si="6"/>
        <v>84.48945147679328</v>
      </c>
      <c r="G55" s="1">
        <f t="shared" si="4"/>
        <v>47.10642702550109</v>
      </c>
      <c r="H55" s="44">
        <f t="shared" si="7"/>
        <v>91.89999999999986</v>
      </c>
      <c r="I55" s="44">
        <f t="shared" si="5"/>
        <v>562.0999999999999</v>
      </c>
      <c r="K55" s="132"/>
    </row>
    <row r="56" spans="1:11" ht="18">
      <c r="A56" s="23" t="s">
        <v>14</v>
      </c>
      <c r="B56" s="42">
        <v>329.7</v>
      </c>
      <c r="C56" s="43">
        <v>518.9</v>
      </c>
      <c r="D56" s="43">
        <f>34+46+40+40+40+40+40</f>
        <v>280</v>
      </c>
      <c r="E56" s="1">
        <f>D56/D51*100</f>
        <v>2.0822333439923852</v>
      </c>
      <c r="F56" s="1">
        <f>D56/B56*100</f>
        <v>84.92569002123143</v>
      </c>
      <c r="G56" s="1">
        <f>D56/C56*100</f>
        <v>53.96030063596069</v>
      </c>
      <c r="H56" s="44">
        <f t="shared" si="7"/>
        <v>49.69999999999999</v>
      </c>
      <c r="I56" s="44">
        <f t="shared" si="5"/>
        <v>238.89999999999998</v>
      </c>
      <c r="K56" s="132"/>
    </row>
    <row r="57" spans="1:11" ht="18.75" thickBot="1">
      <c r="A57" s="23" t="s">
        <v>28</v>
      </c>
      <c r="B57" s="43">
        <f>B51-B52-B55-B54-B53-B56</f>
        <v>4201.8</v>
      </c>
      <c r="C57" s="43">
        <f>C51-C52-C55-C54-C53-C56</f>
        <v>6257.699999999999</v>
      </c>
      <c r="D57" s="43">
        <f>D51-D52-D55-D54-D53-D56</f>
        <v>3688.599999999999</v>
      </c>
      <c r="E57" s="1">
        <f>D57/D51*100</f>
        <v>27.430449688036823</v>
      </c>
      <c r="F57" s="1">
        <f t="shared" si="6"/>
        <v>87.7861868722928</v>
      </c>
      <c r="G57" s="1">
        <f t="shared" si="4"/>
        <v>58.944979784904994</v>
      </c>
      <c r="H57" s="44">
        <f>B57-D57</f>
        <v>513.2000000000012</v>
      </c>
      <c r="I57" s="44">
        <f>C57-D57</f>
        <v>2569.1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6398.5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55.6+0.2+146.1+0.4+60.8+0.4+59.3+73.6+0.1+18.6+1.9+67.3+0.4+57.5+0.6+144.6-4.5+32.9+1.2+79.7+73.5+4+0.1+78.7+72.2+0.1+9.9+53+0.1+12.7+6.3+29.9+85.7+69.4+15.3+39.7+11.2+39.1+0.1+101.9+64.5+93.3+45.9+65.6+272.8+119.4-0.1+76.5</f>
        <v>2237.5000000000005</v>
      </c>
      <c r="E59" s="3">
        <f>D59/D151*100</f>
        <v>0.22304021911072397</v>
      </c>
      <c r="F59" s="3">
        <f>D59/B59*100</f>
        <v>34.96913339063844</v>
      </c>
      <c r="G59" s="3">
        <f t="shared" si="4"/>
        <v>28.997809774367884</v>
      </c>
      <c r="H59" s="47">
        <f>B59-D59</f>
        <v>4161</v>
      </c>
      <c r="I59" s="47">
        <f t="shared" si="5"/>
        <v>5478.6</v>
      </c>
      <c r="K59" s="132"/>
    </row>
    <row r="60" spans="1:11" ht="18">
      <c r="A60" s="23" t="s">
        <v>3</v>
      </c>
      <c r="B60" s="42">
        <v>1713.1</v>
      </c>
      <c r="C60" s="43">
        <f>2900.3-339.6</f>
        <v>2560.7000000000003</v>
      </c>
      <c r="D60" s="44">
        <f>55.6+146.1+60.8+59.3+73.6+0.1+67.3+144.6-4.5+79.7+66.8+72.2-0.1+53+75.7+69.4+0.1+39.1+101.5+64.4+45.9+60.8+119.4</f>
        <v>1450.8000000000002</v>
      </c>
      <c r="E60" s="1">
        <f>D60/D59*100</f>
        <v>64.84022346368714</v>
      </c>
      <c r="F60" s="1">
        <f t="shared" si="6"/>
        <v>84.68857626525015</v>
      </c>
      <c r="G60" s="1">
        <f t="shared" si="4"/>
        <v>56.656383020267896</v>
      </c>
      <c r="H60" s="44">
        <f t="shared" si="7"/>
        <v>262.2999999999997</v>
      </c>
      <c r="I60" s="44">
        <f t="shared" si="5"/>
        <v>1109.9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</f>
        <v>265.5</v>
      </c>
      <c r="E61" s="1">
        <f>D61/D59*100</f>
        <v>11.865921787709494</v>
      </c>
      <c r="F61" s="1">
        <f>D61/B61*100</f>
        <v>77.2475996508583</v>
      </c>
      <c r="G61" s="1">
        <f t="shared" si="4"/>
        <v>77.2475996508583</v>
      </c>
      <c r="H61" s="44">
        <f t="shared" si="7"/>
        <v>78.19999999999999</v>
      </c>
      <c r="I61" s="44">
        <f t="shared" si="5"/>
        <v>78.20000000000005</v>
      </c>
      <c r="K61" s="132"/>
    </row>
    <row r="62" spans="1:11" ht="18">
      <c r="A62" s="23" t="s">
        <v>0</v>
      </c>
      <c r="B62" s="42">
        <v>224.5</v>
      </c>
      <c r="C62" s="43">
        <f>451.8-38.9</f>
        <v>412.90000000000003</v>
      </c>
      <c r="D62" s="44">
        <f>0.4+18.6+55.1+0.5+32.9+0.7+67.5+3.7+0.4+6.3+12.6+0.1+4.2+0.1+1.9+0.5+3.8</f>
        <v>209.29999999999998</v>
      </c>
      <c r="E62" s="1">
        <f>D62/D59*100</f>
        <v>9.354189944134076</v>
      </c>
      <c r="F62" s="1">
        <f t="shared" si="6"/>
        <v>93.2293986636971</v>
      </c>
      <c r="G62" s="1">
        <f t="shared" si="4"/>
        <v>50.69023976749818</v>
      </c>
      <c r="H62" s="44">
        <f t="shared" si="7"/>
        <v>15.200000000000017</v>
      </c>
      <c r="I62" s="44">
        <f t="shared" si="5"/>
        <v>203.60000000000005</v>
      </c>
      <c r="K62" s="132"/>
    </row>
    <row r="63" spans="1:11" ht="18">
      <c r="A63" s="23" t="s">
        <v>14</v>
      </c>
      <c r="B63" s="42">
        <v>3707.1</v>
      </c>
      <c r="C63" s="43">
        <v>3707.1</v>
      </c>
      <c r="D63" s="44">
        <v>89.8</v>
      </c>
      <c r="E63" s="1">
        <f>D63/D59*100</f>
        <v>4.013407821229049</v>
      </c>
      <c r="F63" s="1">
        <f t="shared" si="6"/>
        <v>2.422378678751585</v>
      </c>
      <c r="G63" s="1">
        <f t="shared" si="4"/>
        <v>2.422378678751585</v>
      </c>
      <c r="H63" s="44">
        <f t="shared" si="7"/>
        <v>3617.2999999999997</v>
      </c>
      <c r="I63" s="44">
        <f t="shared" si="5"/>
        <v>3617.2999999999997</v>
      </c>
      <c r="K63" s="132"/>
    </row>
    <row r="64" spans="1:11" ht="18.75" thickBot="1">
      <c r="A64" s="23" t="s">
        <v>28</v>
      </c>
      <c r="B64" s="43">
        <f>B59-B60-B62-B63-B61</f>
        <v>410.09999999999974</v>
      </c>
      <c r="C64" s="43">
        <f>C59-C60-C62-C63-C61</f>
        <v>691.7</v>
      </c>
      <c r="D64" s="43">
        <f>D59-D60-D62-D63-D61</f>
        <v>222.1000000000003</v>
      </c>
      <c r="E64" s="1">
        <f>D64/D59*100</f>
        <v>9.926256983240235</v>
      </c>
      <c r="F64" s="1">
        <f t="shared" si="6"/>
        <v>54.15752255547438</v>
      </c>
      <c r="G64" s="1">
        <f t="shared" si="4"/>
        <v>32.10929593754522</v>
      </c>
      <c r="H64" s="44">
        <f t="shared" si="7"/>
        <v>187.99999999999943</v>
      </c>
      <c r="I64" s="44">
        <f t="shared" si="5"/>
        <v>469.59999999999974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342.4</v>
      </c>
      <c r="C69" s="46">
        <f>C70+C71</f>
        <v>397.5</v>
      </c>
      <c r="D69" s="47">
        <f>SUM(D70:D71)</f>
        <v>242.49999999999997</v>
      </c>
      <c r="E69" s="35">
        <f>D69/D151*100</f>
        <v>0.024173074026525382</v>
      </c>
      <c r="F69" s="3">
        <f>D69/B69*100</f>
        <v>70.82359813084112</v>
      </c>
      <c r="G69" s="3">
        <f t="shared" si="4"/>
        <v>61.0062893081761</v>
      </c>
      <c r="H69" s="47">
        <f>B69-D69</f>
        <v>99.9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v>55.4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11.732851985559567</v>
      </c>
      <c r="G71" s="1">
        <f t="shared" si="4"/>
        <v>5.88235294117647</v>
      </c>
      <c r="H71" s="44">
        <f t="shared" si="7"/>
        <v>48.9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f>107720.6-1218.4</f>
        <v>106502.20000000001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</f>
        <v>71193.8</v>
      </c>
      <c r="E90" s="3">
        <f>D90/D151*100</f>
        <v>7.096795866513992</v>
      </c>
      <c r="F90" s="3">
        <f aca="true" t="shared" si="10" ref="F90:F96">D90/B90*100</f>
        <v>66.84725761533564</v>
      </c>
      <c r="G90" s="3">
        <f t="shared" si="8"/>
        <v>44.986790298436254</v>
      </c>
      <c r="H90" s="47">
        <f aca="true" t="shared" si="11" ref="H90:H96">B90-D90</f>
        <v>35308.40000000001</v>
      </c>
      <c r="I90" s="47">
        <f t="shared" si="9"/>
        <v>87061.09999999999</v>
      </c>
      <c r="K90" s="132"/>
    </row>
    <row r="91" spans="1:11" ht="18">
      <c r="A91" s="23" t="s">
        <v>3</v>
      </c>
      <c r="B91" s="42">
        <f>99959.7-1218.4</f>
        <v>98741.3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</f>
        <v>66128</v>
      </c>
      <c r="E91" s="1">
        <f>D91/D90*100</f>
        <v>92.88449275077323</v>
      </c>
      <c r="F91" s="1">
        <f t="shared" si="10"/>
        <v>66.97096351779854</v>
      </c>
      <c r="G91" s="1">
        <f t="shared" si="8"/>
        <v>44.76101578697633</v>
      </c>
      <c r="H91" s="44">
        <f t="shared" si="11"/>
        <v>32613.300000000003</v>
      </c>
      <c r="I91" s="44">
        <f t="shared" si="9"/>
        <v>81607.70000000001</v>
      </c>
      <c r="K91" s="132"/>
    </row>
    <row r="92" spans="1:11" ht="18">
      <c r="A92" s="23" t="s">
        <v>26</v>
      </c>
      <c r="B92" s="42">
        <v>1537.2</v>
      </c>
      <c r="C92" s="43">
        <v>2620.6</v>
      </c>
      <c r="D92" s="44">
        <f>48.5+5.1+5+1.3+22.8+67.3+62.7+3.5+1.4+40.6+112.7+571.4+55.5+1.7+2.4+3.1+83.6+0.9+1.4+3.5+0.9+23.5+44.4+1+13.6+0.7+42.8+22.3+44+0.7+4.6</f>
        <v>1292.9</v>
      </c>
      <c r="E92" s="1">
        <f>D92/D90*100</f>
        <v>1.816028923866966</v>
      </c>
      <c r="F92" s="1">
        <f t="shared" si="10"/>
        <v>84.10746812386158</v>
      </c>
      <c r="G92" s="1">
        <f t="shared" si="8"/>
        <v>49.336029916812954</v>
      </c>
      <c r="H92" s="44">
        <f t="shared" si="11"/>
        <v>244.29999999999995</v>
      </c>
      <c r="I92" s="44">
        <f t="shared" si="9"/>
        <v>1327.6999999999998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6223.700000000009</v>
      </c>
      <c r="C94" s="43">
        <f>C90-C91-C92-C93</f>
        <v>7898.599999999982</v>
      </c>
      <c r="D94" s="43">
        <f>D90-D91-D92-D93</f>
        <v>3772.900000000003</v>
      </c>
      <c r="E94" s="1">
        <f>D94/D90*100</f>
        <v>5.299478325359797</v>
      </c>
      <c r="F94" s="1">
        <f t="shared" si="10"/>
        <v>60.621495252020466</v>
      </c>
      <c r="G94" s="1">
        <f>D94/C94*100</f>
        <v>47.766692831641194</v>
      </c>
      <c r="H94" s="44">
        <f t="shared" si="11"/>
        <v>2450.800000000006</v>
      </c>
      <c r="I94" s="44">
        <f>C94-D94</f>
        <v>4125.699999999979</v>
      </c>
      <c r="K94" s="132"/>
    </row>
    <row r="95" spans="1:11" ht="18.75">
      <c r="A95" s="108" t="s">
        <v>12</v>
      </c>
      <c r="B95" s="128">
        <f>44044.4-826.8</f>
        <v>43217.6</v>
      </c>
      <c r="C95" s="112">
        <f>59880.5+5316.8+172.8+165-3329.3+408.2</f>
        <v>62614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</f>
        <v>37574.8</v>
      </c>
      <c r="E95" s="107">
        <f>D95/D151*100</f>
        <v>3.7455605028119017</v>
      </c>
      <c r="F95" s="110">
        <f t="shared" si="10"/>
        <v>86.94328236644331</v>
      </c>
      <c r="G95" s="106">
        <f>D95/C95*100</f>
        <v>60.010221356246205</v>
      </c>
      <c r="H95" s="111">
        <f t="shared" si="11"/>
        <v>5642.799999999996</v>
      </c>
      <c r="I95" s="121">
        <f>C95-D95</f>
        <v>25039.199999999997</v>
      </c>
      <c r="K95" s="132"/>
    </row>
    <row r="96" spans="1:11" ht="18.75" thickBot="1">
      <c r="A96" s="109" t="s">
        <v>84</v>
      </c>
      <c r="B96" s="113">
        <f>6602.1-100</f>
        <v>6502.1</v>
      </c>
      <c r="C96" s="114">
        <f>10660.3-133.5+11.8</f>
        <v>10538.599999999999</v>
      </c>
      <c r="D96" s="115">
        <f>69.1+1043.7+68.3+1051.8+1+68.3+66.1+938.4+3+68.7+11.3+4.3+734+67.7+6.3+0.4+21.5+2.2+658.8+0.1+17.8+71.8+130.4+525.1+460.8+17+3.6</f>
        <v>6111.500000000001</v>
      </c>
      <c r="E96" s="116">
        <f>D96/D95*100</f>
        <v>16.264890298817296</v>
      </c>
      <c r="F96" s="117">
        <f t="shared" si="10"/>
        <v>93.99271004752312</v>
      </c>
      <c r="G96" s="118">
        <f>D96/C96*100</f>
        <v>57.99157383333652</v>
      </c>
      <c r="H96" s="122">
        <f t="shared" si="11"/>
        <v>390.59999999999945</v>
      </c>
      <c r="I96" s="123">
        <f>C96-D96</f>
        <v>4427.099999999998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9055.2</v>
      </c>
      <c r="C102" s="92">
        <f>12999.2-348+46.7-53.7+124.7-124.6+10.7+5.1+0.1+19.5</f>
        <v>12679.700000000003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</f>
        <v>6166.499999999997</v>
      </c>
      <c r="E102" s="19">
        <f>D102/D151*100</f>
        <v>0.6146938597301804</v>
      </c>
      <c r="F102" s="19">
        <f>D102/B102*100</f>
        <v>68.09899284389077</v>
      </c>
      <c r="G102" s="19">
        <f aca="true" t="shared" si="12" ref="G102:G149">D102/C102*100</f>
        <v>48.63285408960777</v>
      </c>
      <c r="H102" s="79">
        <f aca="true" t="shared" si="13" ref="H102:H107">B102-D102</f>
        <v>2888.7000000000035</v>
      </c>
      <c r="I102" s="79">
        <f aca="true" t="shared" si="14" ref="I102:I149">C102-D102</f>
        <v>6513.200000000005</v>
      </c>
      <c r="K102" s="133"/>
    </row>
    <row r="103" spans="1:11" ht="18">
      <c r="A103" s="23" t="s">
        <v>3</v>
      </c>
      <c r="B103" s="89">
        <v>184.5</v>
      </c>
      <c r="C103" s="87">
        <v>259.1</v>
      </c>
      <c r="D103" s="87">
        <f>17.3+10+11+0.1+10.9+18.9+0.1+11+25.2+18.3+2.4</f>
        <v>125.19999999999999</v>
      </c>
      <c r="E103" s="83">
        <f>D103/D102*100</f>
        <v>2.030325143922809</v>
      </c>
      <c r="F103" s="1">
        <f>D103/B103*100</f>
        <v>67.8590785907859</v>
      </c>
      <c r="G103" s="83">
        <f>D103/C103*100</f>
        <v>48.32111153994596</v>
      </c>
      <c r="H103" s="87">
        <f t="shared" si="13"/>
        <v>59.30000000000001</v>
      </c>
      <c r="I103" s="87">
        <f t="shared" si="14"/>
        <v>133.90000000000003</v>
      </c>
      <c r="K103" s="132"/>
    </row>
    <row r="104" spans="1:11" ht="18">
      <c r="A104" s="85" t="s">
        <v>49</v>
      </c>
      <c r="B104" s="74">
        <v>7440.7</v>
      </c>
      <c r="C104" s="44">
        <f>10720.8-348+46.7-56.3+125.1-124.6-51.5+5.1+21.6</f>
        <v>10338.900000000001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</f>
        <v>5115.5999999999985</v>
      </c>
      <c r="E104" s="1">
        <f>D104/D102*100</f>
        <v>82.95791778156168</v>
      </c>
      <c r="F104" s="1">
        <f aca="true" t="shared" si="15" ref="F104:F149">D104/B104*100</f>
        <v>68.75159595199375</v>
      </c>
      <c r="G104" s="1">
        <f t="shared" si="12"/>
        <v>49.479151553840325</v>
      </c>
      <c r="H104" s="44">
        <f t="shared" si="13"/>
        <v>2325.1000000000013</v>
      </c>
      <c r="I104" s="44">
        <f t="shared" si="14"/>
        <v>5223.300000000003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1430.000000000001</v>
      </c>
      <c r="C106" s="88">
        <f>C102-C103-C104</f>
        <v>2081.7000000000007</v>
      </c>
      <c r="D106" s="88">
        <f>D102-D103-D104</f>
        <v>925.6999999999989</v>
      </c>
      <c r="E106" s="84">
        <f>D106/D102*100</f>
        <v>15.011757074515517</v>
      </c>
      <c r="F106" s="84">
        <f t="shared" si="15"/>
        <v>64.73426573426562</v>
      </c>
      <c r="G106" s="84">
        <f t="shared" si="12"/>
        <v>44.46846327520769</v>
      </c>
      <c r="H106" s="123">
        <f>B106-D106</f>
        <v>504.300000000002</v>
      </c>
      <c r="I106" s="123">
        <f t="shared" si="14"/>
        <v>1156.0000000000018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313069.4</v>
      </c>
      <c r="C107" s="81">
        <f>SUM(C108:C148)-C115-C119+C149-C140-C141-C109-C112-C122-C123-C138-C131-C129-C136</f>
        <v>532039</v>
      </c>
      <c r="D107" s="81">
        <f>SUM(D108:D148)-D115-D119+D149-D140-D141-D109-D112-D122-D123-D138-D131-D129-D136</f>
        <v>241001.19999999995</v>
      </c>
      <c r="E107" s="82">
        <f>D107/D151*100</f>
        <v>24.023669476624534</v>
      </c>
      <c r="F107" s="82">
        <f>D107/B107*100</f>
        <v>76.9801200628359</v>
      </c>
      <c r="G107" s="82">
        <f t="shared" si="12"/>
        <v>45.29765675072691</v>
      </c>
      <c r="H107" s="81">
        <f t="shared" si="13"/>
        <v>72068.20000000007</v>
      </c>
      <c r="I107" s="81">
        <f t="shared" si="14"/>
        <v>291037.80000000005</v>
      </c>
    </row>
    <row r="108" spans="1:9" ht="37.5">
      <c r="A108" s="28" t="s">
        <v>53</v>
      </c>
      <c r="B108" s="71">
        <v>2647.3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</f>
        <v>1305.3000000000004</v>
      </c>
      <c r="E108" s="6">
        <f>D108/D107*100</f>
        <v>0.5416155604204463</v>
      </c>
      <c r="F108" s="6">
        <f t="shared" si="15"/>
        <v>49.30684093227063</v>
      </c>
      <c r="G108" s="6">
        <f t="shared" si="12"/>
        <v>31.870788162906543</v>
      </c>
      <c r="H108" s="61">
        <f aca="true" t="shared" si="16" ref="H108:H149">B108-D108</f>
        <v>1341.9999999999998</v>
      </c>
      <c r="I108" s="61">
        <f t="shared" si="14"/>
        <v>2790.2999999999993</v>
      </c>
    </row>
    <row r="109" spans="1:9" ht="18">
      <c r="A109" s="23" t="s">
        <v>26</v>
      </c>
      <c r="B109" s="74">
        <v>1630.1</v>
      </c>
      <c r="C109" s="44">
        <v>2633.8</v>
      </c>
      <c r="D109" s="75">
        <f>68.3+138.7+47.8+60.9+18.1+30+81.4+40.6+14.7+2.7+31.2+33.2+49.1</f>
        <v>616.7000000000002</v>
      </c>
      <c r="E109" s="1">
        <f>D109/D108*100</f>
        <v>47.24584386731019</v>
      </c>
      <c r="F109" s="1">
        <f t="shared" si="15"/>
        <v>37.832034844488085</v>
      </c>
      <c r="G109" s="1">
        <f t="shared" si="12"/>
        <v>23.41483787683196</v>
      </c>
      <c r="H109" s="44">
        <f t="shared" si="16"/>
        <v>1013.3999999999997</v>
      </c>
      <c r="I109" s="44">
        <f t="shared" si="14"/>
        <v>2017.1</v>
      </c>
    </row>
    <row r="110" spans="1:9" ht="34.5" customHeight="1">
      <c r="A110" s="16" t="s">
        <v>79</v>
      </c>
      <c r="B110" s="73">
        <v>899.1</v>
      </c>
      <c r="C110" s="61">
        <v>1175.4</v>
      </c>
      <c r="D110" s="72">
        <f>11.8+87.5+28+44.4+7.5+8.9+32.2</f>
        <v>220.3</v>
      </c>
      <c r="E110" s="6">
        <f>D110/D107*100</f>
        <v>0.09141033322655658</v>
      </c>
      <c r="F110" s="6">
        <f>D110/B110*100</f>
        <v>24.502280057835616</v>
      </c>
      <c r="G110" s="6">
        <f t="shared" si="12"/>
        <v>18.742555725710396</v>
      </c>
      <c r="H110" s="61">
        <f t="shared" si="16"/>
        <v>678.8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171.7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171.7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0.01265553864462086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1967.8</v>
      </c>
      <c r="C114" s="61">
        <f>2915.4+6.2</f>
        <v>2921.6</v>
      </c>
      <c r="D114" s="72">
        <f>136.4+40+10+2+0.1+10.6+142+54.3+10.6+6.6+21.9+41.3+8.2+239.5+0.2+6.2+0.7+26.9+145.7+54.9+4+2+1.1+3.5+2.2+195.9+3.8+0.4+0.2+181.5+10+1.7+7.3+203.7+0.1</f>
        <v>1575.5000000000002</v>
      </c>
      <c r="E114" s="6">
        <f>D114/D107*100</f>
        <v>0.6537311847409891</v>
      </c>
      <c r="F114" s="6">
        <f t="shared" si="15"/>
        <v>80.06403089744894</v>
      </c>
      <c r="G114" s="6">
        <f t="shared" si="12"/>
        <v>53.92593099671414</v>
      </c>
      <c r="H114" s="61">
        <f t="shared" si="16"/>
        <v>392.2999999999997</v>
      </c>
      <c r="I114" s="61">
        <f t="shared" si="14"/>
        <v>1346.0999999999997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>
        <f>18</f>
        <v>18</v>
      </c>
      <c r="E117" s="6">
        <f>D117/D107*100</f>
        <v>0.007468842478792638</v>
      </c>
      <c r="F117" s="6">
        <f>D117/B117*100</f>
        <v>15.126050420168067</v>
      </c>
      <c r="G117" s="6">
        <f t="shared" si="12"/>
        <v>9.045226130653267</v>
      </c>
      <c r="H117" s="61">
        <f t="shared" si="16"/>
        <v>101</v>
      </c>
      <c r="I117" s="61">
        <f t="shared" si="14"/>
        <v>181</v>
      </c>
    </row>
    <row r="118" spans="1:9" s="2" customFormat="1" ht="18.75">
      <c r="A118" s="16" t="s">
        <v>15</v>
      </c>
      <c r="B118" s="73">
        <v>244.4</v>
      </c>
      <c r="C118" s="53">
        <v>422.8</v>
      </c>
      <c r="D118" s="72">
        <f>39+5+6.2+39.1+4.9+0.4+0.8+39+0.1+5.5+0.9+39+4.8+1.3+39-0.1+0.8+0.4+5+0.8+5.1+0.2+0.4</f>
        <v>237.60000000000008</v>
      </c>
      <c r="E118" s="6">
        <f>D118/D107*100</f>
        <v>0.09858872072006286</v>
      </c>
      <c r="F118" s="6">
        <f t="shared" si="15"/>
        <v>97.21767594108023</v>
      </c>
      <c r="G118" s="6">
        <f t="shared" si="12"/>
        <v>56.196783349101246</v>
      </c>
      <c r="H118" s="61">
        <f t="shared" si="16"/>
        <v>6.799999999999926</v>
      </c>
      <c r="I118" s="61">
        <f t="shared" si="14"/>
        <v>185.19999999999993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82.15488215488213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f>238.6+80-160</f>
        <v>158.60000000000002</v>
      </c>
      <c r="C121" s="53">
        <v>520</v>
      </c>
      <c r="D121" s="76">
        <f>49.4+11+30.6</f>
        <v>91</v>
      </c>
      <c r="E121" s="17">
        <f>D121/D107*100</f>
        <v>0.03775914808722945</v>
      </c>
      <c r="F121" s="6">
        <f t="shared" si="15"/>
        <v>57.377049180327866</v>
      </c>
      <c r="G121" s="6">
        <f t="shared" si="12"/>
        <v>17.5</v>
      </c>
      <c r="H121" s="61">
        <f t="shared" si="16"/>
        <v>67.60000000000002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26129.2</v>
      </c>
      <c r="C124" s="53">
        <f>33585.8+9933.2-1212.8-350</f>
        <v>41956.2</v>
      </c>
      <c r="D124" s="76">
        <f>3483.8+2635.6+1853.3+812.9+1333.3+1694.1+1722.4+661.9+934+1328+225+1781.5+1097.2+0.1+1902.6+1343</f>
        <v>22808.699999999997</v>
      </c>
      <c r="E124" s="17">
        <f>D124/D107*100</f>
        <v>9.46414374700209</v>
      </c>
      <c r="F124" s="6">
        <f t="shared" si="15"/>
        <v>87.29199516250019</v>
      </c>
      <c r="G124" s="6">
        <f t="shared" si="12"/>
        <v>54.36312154103565</v>
      </c>
      <c r="H124" s="61">
        <f t="shared" si="16"/>
        <v>3320.5000000000036</v>
      </c>
      <c r="I124" s="61">
        <f t="shared" si="14"/>
        <v>19147.5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0.006638971092260123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0.008174233157345275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869.3</v>
      </c>
      <c r="C128" s="53">
        <v>1253.3</v>
      </c>
      <c r="D128" s="76">
        <f>6.5+6.7+0.9+10.2+6.4+2.4+29+2.5+26.7+1.1+7.5+20.9+3.3+0.1+0.6+54.3+6.4+19+6.4-0.2+0.9+1+0.1+24+11.8+60.3+1.8+4+2+10.5+0.5+0.1+1.1+56.8+0.1-0.1+8.7</f>
        <v>394.30000000000007</v>
      </c>
      <c r="E128" s="17">
        <f>D128/D107*100</f>
        <v>0.16360914385488542</v>
      </c>
      <c r="F128" s="6">
        <f t="shared" si="15"/>
        <v>45.35833429195905</v>
      </c>
      <c r="G128" s="6">
        <f t="shared" si="12"/>
        <v>31.460943110189106</v>
      </c>
      <c r="H128" s="61">
        <f t="shared" si="16"/>
        <v>474.9999999999999</v>
      </c>
      <c r="I128" s="61">
        <f t="shared" si="14"/>
        <v>858.9999999999999</v>
      </c>
    </row>
    <row r="129" spans="1:9" s="32" customFormat="1" ht="18">
      <c r="A129" s="23" t="s">
        <v>89</v>
      </c>
      <c r="B129" s="74">
        <v>242.8</v>
      </c>
      <c r="C129" s="44">
        <v>459.6</v>
      </c>
      <c r="D129" s="75">
        <f>6.4+6.4+6.4+6.4+6.4+24+6.4+56.8+6.4</f>
        <v>125.6</v>
      </c>
      <c r="E129" s="1">
        <f>D129/D128*100</f>
        <v>31.853918336292157</v>
      </c>
      <c r="F129" s="1">
        <f>D129/B129*100</f>
        <v>51.729818780889616</v>
      </c>
      <c r="G129" s="1">
        <f t="shared" si="12"/>
        <v>27.328111401218447</v>
      </c>
      <c r="H129" s="44">
        <f t="shared" si="16"/>
        <v>117.20000000000002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72.1</v>
      </c>
      <c r="C134" s="53">
        <v>108.1</v>
      </c>
      <c r="D134" s="76">
        <f>3.8+10.3+1.3</f>
        <v>15.400000000000002</v>
      </c>
      <c r="E134" s="17">
        <f>D134/D107*100</f>
        <v>0.006390009676300369</v>
      </c>
      <c r="F134" s="6">
        <f t="shared" si="15"/>
        <v>21.35922330097088</v>
      </c>
      <c r="G134" s="6">
        <f t="shared" si="12"/>
        <v>14.246068455134136</v>
      </c>
      <c r="H134" s="61">
        <f t="shared" si="16"/>
        <v>56.69999999999999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375</v>
      </c>
      <c r="C135" s="53">
        <v>626.8</v>
      </c>
      <c r="D135" s="76">
        <f>1.2+14.1+4</f>
        <v>19.299999999999997</v>
      </c>
      <c r="E135" s="17">
        <f>D135/D107*100</f>
        <v>0.008008258880038772</v>
      </c>
      <c r="F135" s="6">
        <f t="shared" si="15"/>
        <v>5.1466666666666665</v>
      </c>
      <c r="G135" s="6">
        <f t="shared" si="12"/>
        <v>3.079132099553286</v>
      </c>
      <c r="H135" s="61">
        <f t="shared" si="16"/>
        <v>355.7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225</v>
      </c>
      <c r="C136" s="44">
        <v>400</v>
      </c>
      <c r="D136" s="75">
        <f>1.2+4</f>
        <v>5.2</v>
      </c>
      <c r="E136" s="1"/>
      <c r="F136" s="6">
        <f>D136/B136*100</f>
        <v>2.3111111111111113</v>
      </c>
      <c r="G136" s="1">
        <f>D136/C136*100</f>
        <v>1.3</v>
      </c>
      <c r="H136" s="44">
        <f>B136-D136</f>
        <v>219.8</v>
      </c>
      <c r="I136" s="44">
        <f>C136-D136</f>
        <v>394.8</v>
      </c>
    </row>
    <row r="137" spans="1:9" s="2" customFormat="1" ht="37.5">
      <c r="A137" s="16" t="s">
        <v>85</v>
      </c>
      <c r="B137" s="73">
        <v>269.8</v>
      </c>
      <c r="C137" s="53">
        <v>381.2</v>
      </c>
      <c r="D137" s="76">
        <f>0.5+1.3+15.9+33.5+3+0.6+15.2+1.3+36.5+1.9+0.3+0.3+0.6+5+2+16.5+0.1+0.5+1.2+18.6-0.1+0.3+0.5+0.5+16+2+17.3+2.1+0.4+0.7</f>
        <v>194.49999999999997</v>
      </c>
      <c r="E137" s="17">
        <f>D137/D107*100</f>
        <v>0.08070499234028711</v>
      </c>
      <c r="F137" s="6">
        <f t="shared" si="15"/>
        <v>72.09043736100814</v>
      </c>
      <c r="G137" s="6">
        <f>D137/C137*100</f>
        <v>51.02308499475341</v>
      </c>
      <c r="H137" s="61">
        <f t="shared" si="16"/>
        <v>75.30000000000004</v>
      </c>
      <c r="I137" s="61">
        <f t="shared" si="14"/>
        <v>186.70000000000002</v>
      </c>
    </row>
    <row r="138" spans="1:9" s="32" customFormat="1" ht="18">
      <c r="A138" s="23" t="s">
        <v>26</v>
      </c>
      <c r="B138" s="74">
        <v>218</v>
      </c>
      <c r="C138" s="44">
        <v>306.1</v>
      </c>
      <c r="D138" s="75">
        <f>15.9+33.5+15.2+36.5+0.3+4.6+16.5-0.1+1.2+16+0.3+16+0.1+16.2+0.3</f>
        <v>172.5</v>
      </c>
      <c r="E138" s="1">
        <f>D138/D137*100</f>
        <v>88.68894601542418</v>
      </c>
      <c r="F138" s="1">
        <f t="shared" si="15"/>
        <v>79.12844036697247</v>
      </c>
      <c r="G138" s="1">
        <f>D138/C138*100</f>
        <v>56.35413263639333</v>
      </c>
      <c r="H138" s="44">
        <f t="shared" si="16"/>
        <v>45.5</v>
      </c>
      <c r="I138" s="44">
        <f t="shared" si="14"/>
        <v>133.60000000000002</v>
      </c>
    </row>
    <row r="139" spans="1:9" s="2" customFormat="1" ht="18.75">
      <c r="A139" s="16" t="s">
        <v>101</v>
      </c>
      <c r="B139" s="73">
        <v>1034.6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</f>
        <v>826.2</v>
      </c>
      <c r="E139" s="17">
        <f>D139/D107*100</f>
        <v>0.34281986977658213</v>
      </c>
      <c r="F139" s="6">
        <f t="shared" si="15"/>
        <v>79.85694954571815</v>
      </c>
      <c r="G139" s="6">
        <f t="shared" si="12"/>
        <v>54.6211820706069</v>
      </c>
      <c r="H139" s="61">
        <f t="shared" si="16"/>
        <v>208.39999999999986</v>
      </c>
      <c r="I139" s="61">
        <f t="shared" si="14"/>
        <v>686.4000000000001</v>
      </c>
    </row>
    <row r="140" spans="1:9" s="32" customFormat="1" ht="18">
      <c r="A140" s="33" t="s">
        <v>44</v>
      </c>
      <c r="B140" s="74">
        <v>801</v>
      </c>
      <c r="C140" s="44">
        <f>1063.5+115.2</f>
        <v>1178.7</v>
      </c>
      <c r="D140" s="75">
        <f>26+59.9+27.3+57.1-0.1+46.3+42.7-0.1+36.4+51.8+8.5+28+53.1+4.3+35.3+82.1+45.8+73.5</f>
        <v>677.9</v>
      </c>
      <c r="E140" s="1">
        <f>D140/D139*100</f>
        <v>82.05035100459936</v>
      </c>
      <c r="F140" s="1">
        <f aca="true" t="shared" si="17" ref="F140:F148">D140/B140*100</f>
        <v>84.63171036204744</v>
      </c>
      <c r="G140" s="1">
        <f t="shared" si="12"/>
        <v>57.51251378637482</v>
      </c>
      <c r="H140" s="44">
        <f t="shared" si="16"/>
        <v>123.10000000000002</v>
      </c>
      <c r="I140" s="44">
        <f t="shared" si="14"/>
        <v>500.80000000000007</v>
      </c>
    </row>
    <row r="141" spans="1:9" s="32" customFormat="1" ht="18">
      <c r="A141" s="23" t="s">
        <v>26</v>
      </c>
      <c r="B141" s="74">
        <v>24.8</v>
      </c>
      <c r="C141" s="44">
        <v>37.5</v>
      </c>
      <c r="D141" s="75">
        <f>0.4+5.6+0.6+6+0.1+3.7+0.1+0.4+1+0.3+0.3</f>
        <v>18.5</v>
      </c>
      <c r="E141" s="1">
        <f>D141/D139*100</f>
        <v>2.2391672718470104</v>
      </c>
      <c r="F141" s="1">
        <f t="shared" si="17"/>
        <v>74.59677419354838</v>
      </c>
      <c r="G141" s="1">
        <f>D141/C141*100</f>
        <v>49.333333333333336</v>
      </c>
      <c r="H141" s="44">
        <f t="shared" si="16"/>
        <v>6.300000000000001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v>1832.5</v>
      </c>
      <c r="C142" s="53">
        <f>200+300+1250+175</f>
        <v>1925</v>
      </c>
      <c r="D142" s="76">
        <f>300+200</f>
        <v>500</v>
      </c>
      <c r="E142" s="17">
        <f>D142/D107*100</f>
        <v>0.2074678466331288</v>
      </c>
      <c r="F142" s="99">
        <f t="shared" si="17"/>
        <v>27.285129604365622</v>
      </c>
      <c r="G142" s="6">
        <f t="shared" si="12"/>
        <v>25.97402597402597</v>
      </c>
      <c r="H142" s="61">
        <f t="shared" si="16"/>
        <v>1332.5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23.25" customHeight="1">
      <c r="A144" s="18" t="s">
        <v>102</v>
      </c>
      <c r="B144" s="73">
        <v>27560.6</v>
      </c>
      <c r="C144" s="53">
        <f>67967+150-2500-1878-220-5896.7</f>
        <v>57622.3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</f>
        <v>20608.299999999996</v>
      </c>
      <c r="E144" s="17">
        <f>D144/D107*100</f>
        <v>8.551119247539015</v>
      </c>
      <c r="F144" s="99">
        <f t="shared" si="17"/>
        <v>74.77449692677226</v>
      </c>
      <c r="G144" s="6">
        <f t="shared" si="12"/>
        <v>35.76445230405589</v>
      </c>
      <c r="H144" s="61">
        <f t="shared" si="16"/>
        <v>6952.300000000003</v>
      </c>
      <c r="I144" s="61">
        <f t="shared" si="14"/>
        <v>37014.00000000001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0.03170108696554209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7710.8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2.7945918941482453</v>
      </c>
      <c r="F147" s="99">
        <f t="shared" si="17"/>
        <v>87.34502256575192</v>
      </c>
      <c r="G147" s="6">
        <f t="shared" si="12"/>
        <v>63.834022064677555</v>
      </c>
      <c r="H147" s="61">
        <f t="shared" si="16"/>
        <v>975.8000000000011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f>217793.7+2205.2</f>
        <v>219998.90000000002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</f>
        <v>168109.49999999997</v>
      </c>
      <c r="E148" s="17">
        <f>D148/D107*100</f>
        <v>69.75463192714393</v>
      </c>
      <c r="F148" s="6">
        <f t="shared" si="17"/>
        <v>76.41379115986486</v>
      </c>
      <c r="G148" s="6">
        <f t="shared" si="12"/>
        <v>44.75463281444675</v>
      </c>
      <c r="H148" s="61">
        <f t="shared" si="16"/>
        <v>51889.40000000005</v>
      </c>
      <c r="I148" s="61">
        <f t="shared" si="14"/>
        <v>207515.30000000002</v>
      </c>
      <c r="K148" s="91"/>
      <c r="L148" s="38"/>
    </row>
    <row r="149" spans="1:12" s="2" customFormat="1" ht="18.75">
      <c r="A149" s="16" t="s">
        <v>104</v>
      </c>
      <c r="B149" s="73">
        <v>19656.8</v>
      </c>
      <c r="C149" s="53">
        <v>29485.2</v>
      </c>
      <c r="D149" s="76">
        <f>819+819+819.1+819+819+819.1+819+819+819.1+819+819+819.1+819.1+819+819+819+819.1+819+819+819+819.1</f>
        <v>17199.7</v>
      </c>
      <c r="E149" s="17">
        <f>D149/D107*100</f>
        <v>7.136769443471652</v>
      </c>
      <c r="F149" s="6">
        <f t="shared" si="15"/>
        <v>87.50000000000001</v>
      </c>
      <c r="G149" s="6">
        <f t="shared" si="12"/>
        <v>58.333333333333336</v>
      </c>
      <c r="H149" s="61">
        <f t="shared" si="16"/>
        <v>2457.0999999999985</v>
      </c>
      <c r="I149" s="61">
        <f t="shared" si="14"/>
        <v>12285.5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325270.7</v>
      </c>
      <c r="C150" s="77">
        <f>C43+C69+C72+C77+C79+C87+C102+C107+C100+C84+C98</f>
        <v>548262.8</v>
      </c>
      <c r="D150" s="53">
        <f>D43+D69+D72+D77+D79+D87+D102+D107+D100+D84+D98</f>
        <v>248603.19999999995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1242179.5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1003182.3</v>
      </c>
      <c r="E151" s="31">
        <v>100</v>
      </c>
      <c r="F151" s="3">
        <f>D151/B151*100</f>
        <v>80.75984992507121</v>
      </c>
      <c r="G151" s="3">
        <f aca="true" t="shared" si="18" ref="G151:G157">D151/C151*100</f>
        <v>53.36996979691604</v>
      </c>
      <c r="H151" s="47">
        <f aca="true" t="shared" si="19" ref="H151:H157">B151-D151</f>
        <v>238997.19999999995</v>
      </c>
      <c r="I151" s="47">
        <f aca="true" t="shared" si="20" ref="I151:I157">C151-D151</f>
        <v>876493.2999999996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491585.1</v>
      </c>
      <c r="C152" s="60">
        <f>C8+C20+C34+C52+C60+C91+C115+C119+C46+C140+C131+C103</f>
        <v>728085</v>
      </c>
      <c r="D152" s="60">
        <f>D8+D20+D34+D52+D60+D91+D115+D119+D46+D140+D131+D103</f>
        <v>406825.5999999999</v>
      </c>
      <c r="E152" s="6">
        <f>D152/D151*100</f>
        <v>40.55350657602311</v>
      </c>
      <c r="F152" s="6">
        <f aca="true" t="shared" si="21" ref="F152:F157">D152/B152*100</f>
        <v>82.7579192290409</v>
      </c>
      <c r="G152" s="6">
        <f t="shared" si="18"/>
        <v>55.876113365884464</v>
      </c>
      <c r="H152" s="61">
        <f t="shared" si="19"/>
        <v>84759.50000000006</v>
      </c>
      <c r="I152" s="72">
        <f t="shared" si="20"/>
        <v>321259.4000000001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66073.7</v>
      </c>
      <c r="C153" s="61">
        <f>C11+C23+C36+C55+C62+C92+C49+C141+C109+C112+C96+C138</f>
        <v>102323.1</v>
      </c>
      <c r="D153" s="61">
        <f>D11+D23+D36+D55+D62+D92+D49+D141+D109+D112+D96+D138</f>
        <v>56382.200000000004</v>
      </c>
      <c r="E153" s="6">
        <f>D153/D151*100</f>
        <v>5.620334409807669</v>
      </c>
      <c r="F153" s="6">
        <f t="shared" si="21"/>
        <v>85.33228803593565</v>
      </c>
      <c r="G153" s="6">
        <f t="shared" si="18"/>
        <v>55.10212259010917</v>
      </c>
      <c r="H153" s="61">
        <f t="shared" si="19"/>
        <v>9691.499999999993</v>
      </c>
      <c r="I153" s="72">
        <f t="shared" si="20"/>
        <v>45940.9</v>
      </c>
      <c r="K153" s="39"/>
      <c r="L153" s="90"/>
    </row>
    <row r="154" spans="1:12" ht="18.75">
      <c r="A154" s="18" t="s">
        <v>1</v>
      </c>
      <c r="B154" s="60">
        <f>B22+B10+B54+B48+B61+B35+B123</f>
        <v>20505.100000000002</v>
      </c>
      <c r="C154" s="60">
        <f>C22+C10+C54+C48+C61+C35+C123</f>
        <v>28689.7</v>
      </c>
      <c r="D154" s="60">
        <f>D22+D10+D54+D48+D61+D35+D123</f>
        <v>18666.899999999994</v>
      </c>
      <c r="E154" s="6">
        <f>D154/D151*100</f>
        <v>1.8607684764773056</v>
      </c>
      <c r="F154" s="6">
        <f t="shared" si="21"/>
        <v>91.03540094903215</v>
      </c>
      <c r="G154" s="6">
        <f t="shared" si="18"/>
        <v>65.0648142016124</v>
      </c>
      <c r="H154" s="61">
        <f t="shared" si="19"/>
        <v>1838.200000000008</v>
      </c>
      <c r="I154" s="72">
        <f t="shared" si="20"/>
        <v>10022.800000000007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20504.199999999997</v>
      </c>
      <c r="C155" s="60">
        <f>C12+C24+C104+C63+C38+C93+C129+C56+C136</f>
        <v>29533.899999999998</v>
      </c>
      <c r="D155" s="60">
        <f>D12+D24+D104+D63+D38+D93+D129+D56+D136</f>
        <v>13051.9</v>
      </c>
      <c r="E155" s="6">
        <f>D155/D151*100</f>
        <v>1.3010496696363163</v>
      </c>
      <c r="F155" s="6">
        <f t="shared" si="21"/>
        <v>63.654763414324876</v>
      </c>
      <c r="G155" s="6">
        <f t="shared" si="18"/>
        <v>44.19294437917106</v>
      </c>
      <c r="H155" s="61">
        <f>B155-D155</f>
        <v>7452.299999999997</v>
      </c>
      <c r="I155" s="72">
        <f t="shared" si="20"/>
        <v>16482</v>
      </c>
      <c r="K155" s="39"/>
      <c r="L155" s="90"/>
    </row>
    <row r="156" spans="1:12" ht="18.75">
      <c r="A156" s="18" t="s">
        <v>2</v>
      </c>
      <c r="B156" s="60">
        <f>B9+B21+B47+B53+B122</f>
        <v>53.699999999999996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0.00238241842983075</v>
      </c>
      <c r="F156" s="6">
        <f t="shared" si="21"/>
        <v>44.50651769087524</v>
      </c>
      <c r="G156" s="6">
        <f t="shared" si="18"/>
        <v>22.35734331150608</v>
      </c>
      <c r="H156" s="61">
        <f t="shared" si="19"/>
        <v>29.799999999999994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643457.7000000002</v>
      </c>
      <c r="C157" s="78">
        <f>C151-C152-C153-C154-C155-C156</f>
        <v>990936.9999999995</v>
      </c>
      <c r="D157" s="78">
        <f>D151-D152-D153-D154-D155-D156</f>
        <v>508231.80000000016</v>
      </c>
      <c r="E157" s="36">
        <f>D157/D151*100</f>
        <v>50.661958449625764</v>
      </c>
      <c r="F157" s="36">
        <f t="shared" si="21"/>
        <v>78.98449268693187</v>
      </c>
      <c r="G157" s="36">
        <f t="shared" si="18"/>
        <v>51.28800317275471</v>
      </c>
      <c r="H157" s="126">
        <f t="shared" si="19"/>
        <v>135225.90000000002</v>
      </c>
      <c r="I157" s="126">
        <f t="shared" si="20"/>
        <v>482705.1999999994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1003182.3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1003182.3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2017-08-01T12:38:31Z</cp:lastPrinted>
  <dcterms:created xsi:type="dcterms:W3CDTF">2000-06-20T04:48:00Z</dcterms:created>
  <dcterms:modified xsi:type="dcterms:W3CDTF">2017-08-10T05:02:31Z</dcterms:modified>
  <cp:category/>
  <cp:version/>
  <cp:contentType/>
  <cp:contentStatus/>
</cp:coreProperties>
</file>